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Расчет окупаемости" sheetId="2" r:id="rId1"/>
    <sheet name="Лист3" sheetId="3" r:id="rId2"/>
  </sheets>
  <calcPr calcId="145621" iterateCount="1000" concurrentCalc="0"/>
</workbook>
</file>

<file path=xl/calcChain.xml><?xml version="1.0" encoding="utf-8"?>
<calcChain xmlns="http://schemas.openxmlformats.org/spreadsheetml/2006/main">
  <c r="B28" i="2" l="1"/>
  <c r="B33" i="2"/>
  <c r="B3" i="2"/>
  <c r="B60" i="2"/>
  <c r="B39" i="2"/>
  <c r="B40" i="2"/>
  <c r="B38" i="2"/>
  <c r="B42" i="2"/>
  <c r="C28" i="2"/>
  <c r="C29" i="2"/>
  <c r="C30" i="2"/>
  <c r="B43" i="2"/>
  <c r="B44" i="2"/>
  <c r="B79" i="2"/>
  <c r="B78" i="2"/>
  <c r="B80" i="2"/>
  <c r="B45" i="2"/>
  <c r="D21" i="2"/>
  <c r="D22" i="2"/>
  <c r="D23" i="2"/>
  <c r="D25" i="2"/>
  <c r="B37" i="2"/>
  <c r="B46" i="2"/>
  <c r="B47" i="2"/>
  <c r="B48" i="2"/>
  <c r="B30" i="2"/>
  <c r="B50" i="2"/>
  <c r="B55" i="2"/>
  <c r="D28" i="2"/>
  <c r="D29" i="2"/>
  <c r="D30" i="2"/>
  <c r="D31" i="2"/>
  <c r="B57" i="2"/>
  <c r="B62" i="2"/>
  <c r="B67" i="2"/>
  <c r="B70" i="2"/>
  <c r="B71" i="2"/>
  <c r="B72" i="2"/>
  <c r="B73" i="2"/>
  <c r="B34" i="2"/>
  <c r="B64" i="2"/>
  <c r="B76" i="2"/>
  <c r="B77" i="2"/>
  <c r="B81" i="2"/>
  <c r="B82" i="2"/>
  <c r="B83" i="2"/>
  <c r="D3" i="2"/>
  <c r="A29" i="2"/>
  <c r="A28" i="2"/>
  <c r="A30" i="2"/>
  <c r="C18" i="2"/>
  <c r="D18" i="2"/>
  <c r="C19" i="2"/>
  <c r="D19" i="2"/>
  <c r="C20" i="2"/>
  <c r="D20" i="2"/>
  <c r="B21" i="2"/>
  <c r="C21" i="2"/>
  <c r="C22" i="2"/>
  <c r="C23" i="2"/>
  <c r="C24" i="2"/>
  <c r="D24" i="2"/>
</calcChain>
</file>

<file path=xl/sharedStrings.xml><?xml version="1.0" encoding="utf-8"?>
<sst xmlns="http://schemas.openxmlformats.org/spreadsheetml/2006/main" count="79" uniqueCount="76">
  <si>
    <t>Мёд</t>
  </si>
  <si>
    <t>Инфракрасные нагреватели стола</t>
  </si>
  <si>
    <t>Нагреватель рубашки стола</t>
  </si>
  <si>
    <t>Смеситель</t>
  </si>
  <si>
    <t>Насос вакуумный 1</t>
  </si>
  <si>
    <t>Насос вакуумный 2</t>
  </si>
  <si>
    <t>Насос вакуумный 3</t>
  </si>
  <si>
    <t>Наименование сырья</t>
  </si>
  <si>
    <t>Кол-во,
кг</t>
  </si>
  <si>
    <t>Цена, 
руб./кг</t>
  </si>
  <si>
    <t>Стоимость, 
руб.</t>
  </si>
  <si>
    <t>Потребление электроэнергии, кВт*ч</t>
  </si>
  <si>
    <t>Цикл сушки, мин</t>
  </si>
  <si>
    <t>Выход продукта, %</t>
  </si>
  <si>
    <t>Период наработки 1000 кг готовой продукции, ч</t>
  </si>
  <si>
    <t>Энергозатраты на 1000 кг готовой продукции, кВт</t>
  </si>
  <si>
    <t>Цена электроэнергии, руб/кВт*ч</t>
  </si>
  <si>
    <t xml:space="preserve">Стоимость электроэнергии, руб/1000 кг </t>
  </si>
  <si>
    <t>Стоимость готовой продукции, руб/1000 кг</t>
  </si>
  <si>
    <t>Оплата труда в пересчете на 1000 кг гот. продукции</t>
  </si>
  <si>
    <t>Амортизация оборудования</t>
  </si>
  <si>
    <t>Срок амортизации, лет</t>
  </si>
  <si>
    <t>Количество рабочих дней в году, дн</t>
  </si>
  <si>
    <t>Амортизационные отчисления за срок наработки 1000 кг гот. продукции</t>
  </si>
  <si>
    <t>Площадь размещения оборудования, м2</t>
  </si>
  <si>
    <t>Стоимость аренды, руб./мес</t>
  </si>
  <si>
    <t xml:space="preserve">Тарифная стафка (+ НДФЛ, рай. коэф, соц. отч), руб/чел*ч </t>
  </si>
  <si>
    <t>Стоимость оборудования с монтажом</t>
  </si>
  <si>
    <t>Стоимость холодной воды, руб/1000 кг</t>
  </si>
  <si>
    <t>Вода холодная, кг/ч</t>
  </si>
  <si>
    <t>ИТОГО прямые расходы на 1000 кг готовой продукции</t>
  </si>
  <si>
    <t xml:space="preserve">Стоимость аренды в пересчете на 1000 кг гот. прод., руб. </t>
  </si>
  <si>
    <t xml:space="preserve">ИТОГО расходы на 1000 кг готовой продукции, руб. </t>
  </si>
  <si>
    <t>Коэффициент загрузки оборудования</t>
  </si>
  <si>
    <t>Выручка, руб/год</t>
  </si>
  <si>
    <t>Расходы, руб/год</t>
  </si>
  <si>
    <t>Чистая прибыль, руб/год</t>
  </si>
  <si>
    <t>Срок окупаемости, лет</t>
  </si>
  <si>
    <t>Иные накладные расходы (маркетинг, зарплата административного персонала, логистика), 10% от выручки</t>
  </si>
  <si>
    <t>Энергоресурсы:</t>
  </si>
  <si>
    <t>Детализация расхода электроэнергии</t>
  </si>
  <si>
    <t>Площадь размещения энергоблока, м2</t>
  </si>
  <si>
    <t>Стоимость аренды помещений, руб/м2</t>
  </si>
  <si>
    <t>Итого арендуемых площадей, м2</t>
  </si>
  <si>
    <t>Производительность по гот. продукту, кг/ч</t>
  </si>
  <si>
    <t>Сырье (в пересчете на 1000 кг готовой продукции):</t>
  </si>
  <si>
    <t>Количество операторов (круглосуточный сменный график работы), чел</t>
  </si>
  <si>
    <t>Аренда помещений:</t>
  </si>
  <si>
    <t>График работы производства:</t>
  </si>
  <si>
    <t>Оплата труда:</t>
  </si>
  <si>
    <t>Потребление с учетом коэф. включения, 
кВт*ч</t>
  </si>
  <si>
    <t>Производительность по сырью, кг/ч</t>
  </si>
  <si>
    <t>Площадь АБК, м2</t>
  </si>
  <si>
    <t>Площаль складских и вспомогательных помещений, м2</t>
  </si>
  <si>
    <t>Расчет окупаемости:</t>
  </si>
  <si>
    <t>Цена холодной воды, руб/м3</t>
  </si>
  <si>
    <t xml:space="preserve">Затраты на приобретение оборудования, монтаж и ПНР, руб. </t>
  </si>
  <si>
    <t>Мясо</t>
  </si>
  <si>
    <t>Сыр</t>
  </si>
  <si>
    <t xml:space="preserve">Готовая (сухая) продукция: </t>
  </si>
  <si>
    <t>Рыночная стоимость готовой продукции, руб/кг</t>
  </si>
  <si>
    <t>Разовая загрузка на все ед., кг</t>
  </si>
  <si>
    <t>Разовая загрузка на 1 ед. оборудования, кг</t>
  </si>
  <si>
    <t>Густой экстракт ягод облепихи</t>
  </si>
  <si>
    <t xml:space="preserve">Себестоимость сухого продукта, руб/кг </t>
  </si>
  <si>
    <t>Рыночная стоимость сухого продукта, руб/кг</t>
  </si>
  <si>
    <t>Производительность оборудования по сухому продукту, кг/год</t>
  </si>
  <si>
    <t>Производительность и энергозатраты:</t>
  </si>
  <si>
    <t>ИТОГО</t>
  </si>
  <si>
    <t>Срок окупаемости, лет:</t>
  </si>
  <si>
    <t xml:space="preserve">Количество сушильных столов, 1 ед. или 2 ед. </t>
  </si>
  <si>
    <t>Количество единиц оборудования? (Выбрать)</t>
  </si>
  <si>
    <t>Что сушим? (Выбрать)</t>
  </si>
  <si>
    <t>Общее потребление, кВт*ч</t>
  </si>
  <si>
    <t>Циркуляционный насос рубашки стола</t>
  </si>
  <si>
    <t>Устан-ая мощность,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</si>
</sst>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" xfId="1" applyFont="1" applyBorder="1" applyAlignment="1">
      <alignment wrapText="1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5" fillId="0" borderId="0" xfId="0" applyNumberFormat="1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wrapText="1"/>
    </xf>
    <xf numFmtId="0" fontId="6" fillId="0" borderId="0" xfId="6" applyFont="1" applyAlignment="1">
      <alignment wrapText="1"/>
    </xf>
    <xf numFmtId="1" fontId="5" fillId="0" borderId="0" xfId="0" applyNumberFormat="1" applyFont="1" applyAlignment="1">
      <alignment wrapText="1"/>
    </xf>
    <xf numFmtId="1" fontId="4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1" fontId="5" fillId="3" borderId="0" xfId="0" applyNumberFormat="1" applyFont="1" applyFill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165" fontId="9" fillId="0" borderId="0" xfId="0" applyNumberFormat="1" applyFont="1" applyBorder="1" applyAlignment="1">
      <alignment wrapText="1"/>
    </xf>
    <xf numFmtId="165" fontId="10" fillId="0" borderId="0" xfId="0" applyNumberFormat="1" applyFont="1" applyFill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1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5" fillId="2" borderId="1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 applyProtection="1">
      <alignment wrapText="1"/>
      <protection locked="0"/>
    </xf>
    <xf numFmtId="0" fontId="5" fillId="3" borderId="1" xfId="0" applyFont="1" applyFill="1" applyBorder="1" applyAlignment="1" applyProtection="1">
      <alignment wrapText="1"/>
    </xf>
    <xf numFmtId="0" fontId="5" fillId="0" borderId="0" xfId="0" applyFont="1" applyAlignment="1">
      <alignment horizontal="center" wrapText="1"/>
    </xf>
    <xf numFmtId="0" fontId="11" fillId="0" borderId="2" xfId="0" applyFont="1" applyBorder="1" applyAlignment="1">
      <alignment horizontal="right" wrapText="1"/>
    </xf>
    <xf numFmtId="0" fontId="11" fillId="0" borderId="0" xfId="0" applyFont="1" applyAlignment="1">
      <alignment horizontal="right" wrapText="1"/>
    </xf>
  </cellXfs>
  <cellStyles count="7">
    <cellStyle name="Гиперссылка" xfId="6" builtinId="8"/>
    <cellStyle name="Обычный" xfId="0" builtinId="0"/>
    <cellStyle name="Обычный 2" xfId="1"/>
    <cellStyle name="Обычный 2 2" xfId="4"/>
    <cellStyle name="Процентный 2" xfId="2"/>
    <cellStyle name="Финансовый 2" xfId="5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240519</xdr:colOff>
      <xdr:row>78</xdr:row>
      <xdr:rowOff>370328</xdr:rowOff>
    </xdr:from>
    <xdr:to>
      <xdr:col>3</xdr:col>
      <xdr:colOff>940996</xdr:colOff>
      <xdr:row>82</xdr:row>
      <xdr:rowOff>65766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8669" y="18324953"/>
          <a:ext cx="1710127" cy="647938"/>
        </a:xfrm>
        <a:prstGeom prst="rect">
          <a:avLst/>
        </a:prstGeom>
      </xdr:spPr>
    </xdr:pic>
    <xdr:clientData/>
  </xdr:twoCellAnchor>
  <xdr:twoCellAnchor editAs="oneCell">
    <xdr:from>
      <xdr:col>2</xdr:col>
      <xdr:colOff>277540</xdr:colOff>
      <xdr:row>8</xdr:row>
      <xdr:rowOff>16377</xdr:rowOff>
    </xdr:from>
    <xdr:to>
      <xdr:col>3</xdr:col>
      <xdr:colOff>960783</xdr:colOff>
      <xdr:row>15</xdr:row>
      <xdr:rowOff>41411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6518" y="1772290"/>
          <a:ext cx="1693722" cy="13585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tabSelected="1" view="pageLayout" zoomScale="115" zoomScaleNormal="130" zoomScalePageLayoutView="115" workbookViewId="0">
      <selection activeCell="D18" sqref="D18"/>
    </sheetView>
  </sheetViews>
  <sheetFormatPr defaultRowHeight="15" x14ac:dyDescent="0.25"/>
  <cols>
    <col min="1" max="1" width="46" style="3" customWidth="1"/>
    <col min="2" max="2" width="13.28515625" style="3" customWidth="1"/>
    <col min="3" max="3" width="14.140625" style="3" customWidth="1"/>
    <col min="4" max="4" width="15.7109375" style="3" customWidth="1"/>
    <col min="5" max="5" width="29.140625" style="3" customWidth="1"/>
    <col min="6" max="6" width="0" style="3" hidden="1" customWidth="1"/>
    <col min="7" max="7" width="9.140625" style="3" hidden="1" customWidth="1"/>
    <col min="8" max="8" width="20.85546875" style="3" hidden="1" customWidth="1"/>
    <col min="9" max="9" width="0" style="3" hidden="1" customWidth="1"/>
    <col min="10" max="16384" width="9.140625" style="3"/>
  </cols>
  <sheetData>
    <row r="1" spans="1:8" x14ac:dyDescent="0.25">
      <c r="A1" s="1" t="s">
        <v>71</v>
      </c>
      <c r="B1" s="13"/>
      <c r="H1" s="3">
        <v>1</v>
      </c>
    </row>
    <row r="2" spans="1:8" x14ac:dyDescent="0.25">
      <c r="A2" s="5" t="s">
        <v>70</v>
      </c>
      <c r="B2" s="27">
        <v>2</v>
      </c>
      <c r="C2" s="31" t="s">
        <v>69</v>
      </c>
      <c r="D2" s="32"/>
      <c r="H2" s="3">
        <v>2</v>
      </c>
    </row>
    <row r="3" spans="1:8" ht="32.25" x14ac:dyDescent="0.4">
      <c r="A3" s="5" t="s">
        <v>56</v>
      </c>
      <c r="B3" s="5">
        <f>IF(B2=1,4900000,8200000)</f>
        <v>8200000</v>
      </c>
      <c r="D3" s="23">
        <f>B83</f>
        <v>0.5438504314096283</v>
      </c>
    </row>
    <row r="4" spans="1:8" x14ac:dyDescent="0.25">
      <c r="H4" s="3" t="s">
        <v>0</v>
      </c>
    </row>
    <row r="5" spans="1:8" x14ac:dyDescent="0.25">
      <c r="A5" s="1" t="s">
        <v>72</v>
      </c>
      <c r="C5" s="30"/>
      <c r="D5" s="30"/>
      <c r="H5" s="3" t="s">
        <v>57</v>
      </c>
    </row>
    <row r="6" spans="1:8" x14ac:dyDescent="0.25">
      <c r="A6" s="27" t="s">
        <v>0</v>
      </c>
      <c r="H6" s="3" t="s">
        <v>58</v>
      </c>
    </row>
    <row r="7" spans="1:8" ht="15" customHeight="1" x14ac:dyDescent="0.25">
      <c r="A7" s="2"/>
      <c r="H7" s="3" t="s">
        <v>63</v>
      </c>
    </row>
    <row r="8" spans="1:8" ht="16.5" customHeight="1" x14ac:dyDescent="0.25">
      <c r="A8" s="1" t="s">
        <v>48</v>
      </c>
      <c r="B8" s="13"/>
    </row>
    <row r="9" spans="1:8" x14ac:dyDescent="0.25">
      <c r="A9" s="5" t="s">
        <v>22</v>
      </c>
      <c r="B9" s="27">
        <v>320</v>
      </c>
    </row>
    <row r="11" spans="1:8" x14ac:dyDescent="0.25">
      <c r="A11" s="1" t="s">
        <v>47</v>
      </c>
      <c r="B11" s="13"/>
    </row>
    <row r="12" spans="1:8" x14ac:dyDescent="0.25">
      <c r="A12" s="5" t="s">
        <v>42</v>
      </c>
      <c r="B12" s="27">
        <v>1000</v>
      </c>
    </row>
    <row r="14" spans="1:8" x14ac:dyDescent="0.25">
      <c r="A14" s="1" t="s">
        <v>39</v>
      </c>
      <c r="B14" s="13"/>
    </row>
    <row r="15" spans="1:8" x14ac:dyDescent="0.25">
      <c r="A15" s="5" t="s">
        <v>55</v>
      </c>
      <c r="B15" s="27">
        <v>28</v>
      </c>
    </row>
    <row r="16" spans="1:8" x14ac:dyDescent="0.25">
      <c r="A16" s="5" t="s">
        <v>16</v>
      </c>
      <c r="B16" s="27">
        <v>5.03</v>
      </c>
    </row>
    <row r="17" spans="1:8" ht="75" x14ac:dyDescent="0.25">
      <c r="A17" s="16" t="s">
        <v>40</v>
      </c>
      <c r="B17" s="16" t="s">
        <v>75</v>
      </c>
      <c r="C17" s="16" t="s">
        <v>50</v>
      </c>
      <c r="D17" s="16" t="s">
        <v>73</v>
      </c>
      <c r="H17" s="15"/>
    </row>
    <row r="18" spans="1:8" x14ac:dyDescent="0.25">
      <c r="A18" s="4" t="s">
        <v>4</v>
      </c>
      <c r="B18" s="4">
        <v>2.2000000000000002</v>
      </c>
      <c r="C18" s="5">
        <f>B18*0.8</f>
        <v>1.7600000000000002</v>
      </c>
      <c r="D18" s="5">
        <f>C18</f>
        <v>1.7600000000000002</v>
      </c>
    </row>
    <row r="19" spans="1:8" x14ac:dyDescent="0.25">
      <c r="A19" s="4" t="s">
        <v>5</v>
      </c>
      <c r="B19" s="4">
        <v>2.2000000000000002</v>
      </c>
      <c r="C19" s="5">
        <f>B19*0.8</f>
        <v>1.7600000000000002</v>
      </c>
      <c r="D19" s="5">
        <f t="shared" ref="D19:D20" si="0">C19</f>
        <v>1.7600000000000002</v>
      </c>
    </row>
    <row r="20" spans="1:8" x14ac:dyDescent="0.25">
      <c r="A20" s="4" t="s">
        <v>6</v>
      </c>
      <c r="B20" s="4">
        <v>1.1000000000000001</v>
      </c>
      <c r="C20" s="5">
        <f>B20*0.4</f>
        <v>0.44000000000000006</v>
      </c>
      <c r="D20" s="5">
        <f t="shared" si="0"/>
        <v>0.44000000000000006</v>
      </c>
    </row>
    <row r="21" spans="1:8" x14ac:dyDescent="0.25">
      <c r="A21" s="4" t="s">
        <v>1</v>
      </c>
      <c r="B21" s="4">
        <f>4*3</f>
        <v>12</v>
      </c>
      <c r="C21" s="5">
        <f>B21*0.3</f>
        <v>3.5999999999999996</v>
      </c>
      <c r="D21" s="5">
        <f t="shared" ref="D21:D23" si="1">C21*$B$2</f>
        <v>7.1999999999999993</v>
      </c>
    </row>
    <row r="22" spans="1:8" x14ac:dyDescent="0.25">
      <c r="A22" s="4" t="s">
        <v>2</v>
      </c>
      <c r="B22" s="4">
        <v>12</v>
      </c>
      <c r="C22" s="5">
        <f>B22*0.5</f>
        <v>6</v>
      </c>
      <c r="D22" s="5">
        <f t="shared" si="1"/>
        <v>12</v>
      </c>
    </row>
    <row r="23" spans="1:8" x14ac:dyDescent="0.25">
      <c r="A23" s="4" t="s">
        <v>74</v>
      </c>
      <c r="B23" s="4">
        <v>0.151</v>
      </c>
      <c r="C23" s="5">
        <f>B23*0.8</f>
        <v>0.1208</v>
      </c>
      <c r="D23" s="6">
        <f t="shared" si="1"/>
        <v>0.24160000000000001</v>
      </c>
    </row>
    <row r="24" spans="1:8" x14ac:dyDescent="0.25">
      <c r="A24" s="4" t="s">
        <v>3</v>
      </c>
      <c r="B24" s="4">
        <v>1.5</v>
      </c>
      <c r="C24" s="5">
        <f>B24*0.05</f>
        <v>7.5000000000000011E-2</v>
      </c>
      <c r="D24" s="6">
        <f>C24</f>
        <v>7.5000000000000011E-2</v>
      </c>
    </row>
    <row r="25" spans="1:8" x14ac:dyDescent="0.25">
      <c r="A25" s="1"/>
      <c r="D25" s="7">
        <f>SUM(D18:D24)</f>
        <v>23.476599999999998</v>
      </c>
    </row>
    <row r="26" spans="1:8" ht="30" x14ac:dyDescent="0.25">
      <c r="A26" s="1" t="s">
        <v>45</v>
      </c>
      <c r="B26" s="13"/>
      <c r="C26" s="13"/>
      <c r="D26" s="13"/>
    </row>
    <row r="27" spans="1:8" ht="30" x14ac:dyDescent="0.25">
      <c r="A27" s="8" t="s">
        <v>7</v>
      </c>
      <c r="B27" s="8" t="s">
        <v>9</v>
      </c>
      <c r="C27" s="8" t="s">
        <v>8</v>
      </c>
      <c r="D27" s="8" t="s">
        <v>10</v>
      </c>
    </row>
    <row r="28" spans="1:8" x14ac:dyDescent="0.25">
      <c r="A28" s="5" t="str">
        <f>IF(A6="Мёд","Мёд",IF(A6="Мясо","Мясо",IF(A6="Сыр","Сыр",IF(A6="Густой экстракт ягод облепихи","Густой экстракт ягод облепихи",IF(A6="Сухая ягода брусники","Сухая ягода брусники")))))</f>
        <v>Мёд</v>
      </c>
      <c r="B28" s="27">
        <f>IF(A6="Мёд",140,IF(A6="Мясо",240,IF(A6="Сыр",520,IF(A6="Густой экстракт ягод облепихи",850))))</f>
        <v>140</v>
      </c>
      <c r="C28" s="9">
        <f>IF(A6="Мёд",405,IF(A6="Мясо",3030,IF(A6="Сыр",890,IF(A6="Густой экстракт ягод облепихи",1068))))</f>
        <v>405</v>
      </c>
      <c r="D28" s="9">
        <f>B28*C28</f>
        <v>56700</v>
      </c>
      <c r="E28" s="10"/>
    </row>
    <row r="29" spans="1:8" x14ac:dyDescent="0.25">
      <c r="A29" s="5" t="str">
        <f>IF(A6="Мёд","Мальтодекстрин",IF(A6="Мясо","Мальтодекстрин не используется в рецептуре",IF(A6="Сыр","Мальтодекстрин",IF(A6="Густой экстракт ягод облепихи","Мальтодекстрин",IF(A6="Сухая ягода брусники","Мальтодекстрин")))))</f>
        <v>Мальтодекстрин</v>
      </c>
      <c r="B29" s="27">
        <v>110</v>
      </c>
      <c r="C29" s="9">
        <f>IF(A6="Мёд",558,IF(A6="Мясо",0,IF(A6="Сыр",550,IF(A6="Густой экстракт ягод облепихи",374))))</f>
        <v>558</v>
      </c>
      <c r="D29" s="9">
        <f t="shared" ref="D29:D30" si="2">B29*C29</f>
        <v>61380</v>
      </c>
      <c r="E29" s="10"/>
    </row>
    <row r="30" spans="1:8" x14ac:dyDescent="0.25">
      <c r="A30" s="5" t="str">
        <f>IF(A6="Мёд","Вода","Вода не используется в рецептуре")</f>
        <v>Вода</v>
      </c>
      <c r="B30" s="29">
        <f>B15/1000</f>
        <v>2.8000000000000001E-2</v>
      </c>
      <c r="C30" s="9">
        <f>IF(A6="Мёд",209,0)</f>
        <v>209</v>
      </c>
      <c r="D30" s="9">
        <f t="shared" si="2"/>
        <v>5.8520000000000003</v>
      </c>
    </row>
    <row r="31" spans="1:8" x14ac:dyDescent="0.25">
      <c r="A31" s="13"/>
      <c r="B31" s="13"/>
      <c r="C31" s="24" t="s">
        <v>68</v>
      </c>
      <c r="D31" s="25">
        <f>SUM(D28:D30)</f>
        <v>118085.852</v>
      </c>
    </row>
    <row r="32" spans="1:8" x14ac:dyDescent="0.25">
      <c r="A32" s="2" t="s">
        <v>59</v>
      </c>
      <c r="C32" s="17"/>
      <c r="D32" s="11"/>
    </row>
    <row r="33" spans="1:5" x14ac:dyDescent="0.25">
      <c r="A33" s="5" t="s">
        <v>60</v>
      </c>
      <c r="B33" s="27">
        <f>IF(A6="Мёд",800,IF(A6="Мясо",3191,IF(A6="Густой экстракт ягод облепихи",2500,IF(A6="Сыр",1800))))</f>
        <v>800</v>
      </c>
      <c r="C33" s="17"/>
      <c r="D33" s="18"/>
    </row>
    <row r="34" spans="1:5" x14ac:dyDescent="0.25">
      <c r="A34" s="5" t="s">
        <v>18</v>
      </c>
      <c r="B34" s="5">
        <f>B33*1000</f>
        <v>800000</v>
      </c>
      <c r="D34" s="18"/>
      <c r="E34" s="10"/>
    </row>
    <row r="35" spans="1:5" x14ac:dyDescent="0.25">
      <c r="D35" s="12"/>
    </row>
    <row r="36" spans="1:5" x14ac:dyDescent="0.25">
      <c r="A36" s="1" t="s">
        <v>67</v>
      </c>
      <c r="B36" s="13"/>
    </row>
    <row r="37" spans="1:5" x14ac:dyDescent="0.25">
      <c r="A37" s="5" t="s">
        <v>11</v>
      </c>
      <c r="B37" s="6">
        <f>D25</f>
        <v>23.476599999999998</v>
      </c>
    </row>
    <row r="38" spans="1:5" x14ac:dyDescent="0.25">
      <c r="A38" s="5" t="s">
        <v>12</v>
      </c>
      <c r="B38" s="5">
        <f>IF(A6="Мёд",12,IF(A6="Мясо",20,IF(A6="Сыр",10,IF(A6="Густой экстракт ягод облепихи",10))))</f>
        <v>12</v>
      </c>
    </row>
    <row r="39" spans="1:5" x14ac:dyDescent="0.25">
      <c r="A39" s="5" t="s">
        <v>62</v>
      </c>
      <c r="B39" s="5">
        <f>IF(A6="Мёд",1.5,IF(A6="Мясо",6,IF(A6="Сыр",2,IF(A6="Густой экстракт ягод облепихи",1))))</f>
        <v>1.5</v>
      </c>
    </row>
    <row r="40" spans="1:5" x14ac:dyDescent="0.25">
      <c r="A40" s="5" t="s">
        <v>61</v>
      </c>
      <c r="B40" s="5">
        <f>B2*B39</f>
        <v>3</v>
      </c>
    </row>
    <row r="41" spans="1:5" x14ac:dyDescent="0.25">
      <c r="A41" s="5" t="s">
        <v>33</v>
      </c>
      <c r="B41" s="5">
        <v>0.7</v>
      </c>
    </row>
    <row r="42" spans="1:5" x14ac:dyDescent="0.25">
      <c r="A42" s="5" t="s">
        <v>51</v>
      </c>
      <c r="B42" s="5">
        <f>60/B38*B40*B41</f>
        <v>10.5</v>
      </c>
    </row>
    <row r="43" spans="1:5" x14ac:dyDescent="0.25">
      <c r="A43" s="5" t="s">
        <v>13</v>
      </c>
      <c r="B43" s="6">
        <f>1000/SUM(C28:C30)*100</f>
        <v>85.324232081911262</v>
      </c>
    </row>
    <row r="44" spans="1:5" x14ac:dyDescent="0.25">
      <c r="A44" s="5" t="s">
        <v>44</v>
      </c>
      <c r="B44" s="19">
        <f>B42*B43/100</f>
        <v>8.9590443686006829</v>
      </c>
    </row>
    <row r="45" spans="1:5" x14ac:dyDescent="0.25">
      <c r="A45" s="5" t="s">
        <v>14</v>
      </c>
      <c r="B45" s="9">
        <f>1000/B44</f>
        <v>111.61904761904762</v>
      </c>
    </row>
    <row r="46" spans="1:5" ht="15.75" customHeight="1" x14ac:dyDescent="0.25">
      <c r="A46" s="5" t="s">
        <v>15</v>
      </c>
      <c r="B46" s="9">
        <f>B45*B37</f>
        <v>2620.4357333333332</v>
      </c>
    </row>
    <row r="47" spans="1:5" x14ac:dyDescent="0.25">
      <c r="A47" s="5" t="s">
        <v>16</v>
      </c>
      <c r="B47" s="5">
        <f>B16</f>
        <v>5.03</v>
      </c>
    </row>
    <row r="48" spans="1:5" x14ac:dyDescent="0.25">
      <c r="A48" s="5" t="s">
        <v>17</v>
      </c>
      <c r="B48" s="9">
        <f>B47*B46</f>
        <v>13180.791738666667</v>
      </c>
    </row>
    <row r="49" spans="1:2" x14ac:dyDescent="0.25">
      <c r="A49" s="5" t="s">
        <v>29</v>
      </c>
      <c r="B49" s="9">
        <v>600</v>
      </c>
    </row>
    <row r="50" spans="1:2" x14ac:dyDescent="0.25">
      <c r="A50" s="5" t="s">
        <v>28</v>
      </c>
      <c r="B50" s="9">
        <f>B49*B45*B30</f>
        <v>1875.1999999999998</v>
      </c>
    </row>
    <row r="51" spans="1:2" s="13" customFormat="1" x14ac:dyDescent="0.25"/>
    <row r="52" spans="1:2" s="13" customFormat="1" x14ac:dyDescent="0.25">
      <c r="A52" s="1" t="s">
        <v>49</v>
      </c>
    </row>
    <row r="53" spans="1:2" ht="30" x14ac:dyDescent="0.25">
      <c r="A53" s="5" t="s">
        <v>46</v>
      </c>
      <c r="B53" s="20">
        <v>4</v>
      </c>
    </row>
    <row r="54" spans="1:2" ht="30" x14ac:dyDescent="0.25">
      <c r="A54" s="5" t="s">
        <v>26</v>
      </c>
      <c r="B54" s="27">
        <v>306</v>
      </c>
    </row>
    <row r="55" spans="1:2" ht="30" x14ac:dyDescent="0.25">
      <c r="A55" s="5" t="s">
        <v>19</v>
      </c>
      <c r="B55" s="9">
        <f>B54*B53*B45</f>
        <v>136621.71428571429</v>
      </c>
    </row>
    <row r="56" spans="1:2" s="13" customFormat="1" x14ac:dyDescent="0.25"/>
    <row r="57" spans="1:2" s="13" customFormat="1" ht="30" x14ac:dyDescent="0.25">
      <c r="A57" s="26" t="s">
        <v>30</v>
      </c>
      <c r="B57" s="25">
        <f>D31+B48+B50+B55</f>
        <v>269763.55802438094</v>
      </c>
    </row>
    <row r="58" spans="1:2" x14ac:dyDescent="0.25">
      <c r="A58" s="13"/>
      <c r="B58" s="14"/>
    </row>
    <row r="59" spans="1:2" s="13" customFormat="1" x14ac:dyDescent="0.25">
      <c r="A59" s="1" t="s">
        <v>20</v>
      </c>
    </row>
    <row r="60" spans="1:2" x14ac:dyDescent="0.25">
      <c r="A60" s="5" t="s">
        <v>27</v>
      </c>
      <c r="B60" s="5">
        <f>B3</f>
        <v>8200000</v>
      </c>
    </row>
    <row r="61" spans="1:2" x14ac:dyDescent="0.25">
      <c r="A61" s="5" t="s">
        <v>21</v>
      </c>
      <c r="B61" s="5">
        <v>10</v>
      </c>
    </row>
    <row r="62" spans="1:2" ht="30" x14ac:dyDescent="0.25">
      <c r="A62" s="5" t="s">
        <v>23</v>
      </c>
      <c r="B62" s="9">
        <f>B60/B61/365/24*B45</f>
        <v>10448.358338769296</v>
      </c>
    </row>
    <row r="63" spans="1:2" s="13" customFormat="1" x14ac:dyDescent="0.25"/>
    <row r="64" spans="1:2" s="13" customFormat="1" ht="45" x14ac:dyDescent="0.25">
      <c r="A64" s="1" t="s">
        <v>38</v>
      </c>
      <c r="B64" s="28">
        <f>B34*0.1</f>
        <v>80000</v>
      </c>
    </row>
    <row r="65" spans="1:2" x14ac:dyDescent="0.25">
      <c r="A65" s="13"/>
      <c r="B65" s="13"/>
    </row>
    <row r="66" spans="1:2" x14ac:dyDescent="0.25">
      <c r="A66" s="1" t="s">
        <v>47</v>
      </c>
      <c r="B66" s="13"/>
    </row>
    <row r="67" spans="1:2" x14ac:dyDescent="0.25">
      <c r="A67" s="5" t="s">
        <v>24</v>
      </c>
      <c r="B67" s="5">
        <f>18*B2</f>
        <v>36</v>
      </c>
    </row>
    <row r="68" spans="1:2" x14ac:dyDescent="0.25">
      <c r="A68" s="5" t="s">
        <v>41</v>
      </c>
      <c r="B68" s="5">
        <v>8</v>
      </c>
    </row>
    <row r="69" spans="1:2" x14ac:dyDescent="0.25">
      <c r="A69" s="5" t="s">
        <v>52</v>
      </c>
      <c r="B69" s="5">
        <v>60</v>
      </c>
    </row>
    <row r="70" spans="1:2" ht="30" x14ac:dyDescent="0.25">
      <c r="A70" s="5" t="s">
        <v>53</v>
      </c>
      <c r="B70" s="5">
        <f>40*B2</f>
        <v>80</v>
      </c>
    </row>
    <row r="71" spans="1:2" x14ac:dyDescent="0.25">
      <c r="A71" s="5" t="s">
        <v>43</v>
      </c>
      <c r="B71" s="5">
        <f>SUM(B67:B70)</f>
        <v>184</v>
      </c>
    </row>
    <row r="72" spans="1:2" x14ac:dyDescent="0.25">
      <c r="A72" s="5" t="s">
        <v>25</v>
      </c>
      <c r="B72" s="5">
        <f>B71*B12</f>
        <v>184000</v>
      </c>
    </row>
    <row r="73" spans="1:2" ht="30" x14ac:dyDescent="0.25">
      <c r="A73" s="5" t="s">
        <v>31</v>
      </c>
      <c r="B73" s="9">
        <f>B72/30/24*B45</f>
        <v>28524.867724867723</v>
      </c>
    </row>
    <row r="74" spans="1:2" x14ac:dyDescent="0.25">
      <c r="A74" s="13"/>
      <c r="B74" s="13"/>
    </row>
    <row r="75" spans="1:2" x14ac:dyDescent="0.25">
      <c r="A75" s="1" t="s">
        <v>54</v>
      </c>
      <c r="B75" s="13"/>
    </row>
    <row r="76" spans="1:2" ht="14.25" customHeight="1" x14ac:dyDescent="0.25">
      <c r="A76" s="5" t="s">
        <v>32</v>
      </c>
      <c r="B76" s="9">
        <f>B57+B62+B64+B73</f>
        <v>388736.78408801794</v>
      </c>
    </row>
    <row r="77" spans="1:2" x14ac:dyDescent="0.25">
      <c r="A77" s="5" t="s">
        <v>64</v>
      </c>
      <c r="B77" s="9">
        <f>B76/1000</f>
        <v>388.73678408801794</v>
      </c>
    </row>
    <row r="78" spans="1:2" x14ac:dyDescent="0.25">
      <c r="A78" s="5" t="s">
        <v>65</v>
      </c>
      <c r="B78" s="9">
        <f>B33</f>
        <v>800</v>
      </c>
    </row>
    <row r="79" spans="1:2" ht="30" x14ac:dyDescent="0.25">
      <c r="A79" s="5" t="s">
        <v>66</v>
      </c>
      <c r="B79" s="9">
        <f>B44*24*B9</f>
        <v>68805.46075085325</v>
      </c>
    </row>
    <row r="80" spans="1:2" x14ac:dyDescent="0.25">
      <c r="A80" s="5" t="s">
        <v>34</v>
      </c>
      <c r="B80" s="9">
        <f>B79*B78</f>
        <v>55044368.600682601</v>
      </c>
    </row>
    <row r="81" spans="1:2" x14ac:dyDescent="0.25">
      <c r="A81" s="5" t="s">
        <v>35</v>
      </c>
      <c r="B81" s="9">
        <f>B77*B79+(365-B9)*B72/30</f>
        <v>27023213.539981034</v>
      </c>
    </row>
    <row r="82" spans="1:2" x14ac:dyDescent="0.25">
      <c r="A82" s="5" t="s">
        <v>36</v>
      </c>
      <c r="B82" s="9">
        <f>(B80/120*100-B81)*0.8</f>
        <v>15077674.901803575</v>
      </c>
    </row>
    <row r="83" spans="1:2" ht="15.75" x14ac:dyDescent="0.25">
      <c r="A83" s="21" t="s">
        <v>37</v>
      </c>
      <c r="B83" s="22">
        <f>B60/B82</f>
        <v>0.5438504314096283</v>
      </c>
    </row>
  </sheetData>
  <sheetProtection password="DCC9" sheet="1" objects="1" scenarios="1"/>
  <mergeCells count="2">
    <mergeCell ref="C5:D5"/>
    <mergeCell ref="C2:D2"/>
  </mergeCells>
  <dataValidations count="2">
    <dataValidation type="list" allowBlank="1" showInputMessage="1" showErrorMessage="1" promptTitle="Сырье" prompt="Выберете из списка сырье, которое планируете сушить" sqref="A6">
      <formula1>$H$4:$H$7</formula1>
    </dataValidation>
    <dataValidation type="list" allowBlank="1" showInputMessage="1" showErrorMessage="1" promptTitle="Количество ССВИ-Мх6" prompt="Выберете из списка количество Сушильных столов ССВИ-Мх6:_x000a_- 1 шт;_x000a_- 2 шт" sqref="B2">
      <formula1>$H$1:$H$2</formula1>
    </dataValidation>
  </dataValidations>
  <pageMargins left="0.7" right="0.32291666666666669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 окупаемости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2024-01-17T11:03:27Z</dcterms:modified>
</cp:coreProperties>
</file>